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770" windowWidth="21000" windowHeight="12870" activeTab="0"/>
  </bookViews>
  <sheets>
    <sheet name="WBSARA" sheetId="1" r:id="rId1"/>
  </sheets>
  <definedNames>
    <definedName name="_xlnm.Print_Area" localSheetId="0">'WBSARA'!$A$1:$J$40</definedName>
  </definedNames>
  <calcPr fullCalcOnLoad="1"/>
</workbook>
</file>

<file path=xl/sharedStrings.xml><?xml version="1.0" encoding="utf-8"?>
<sst xmlns="http://schemas.openxmlformats.org/spreadsheetml/2006/main" count="25" uniqueCount="24">
  <si>
    <t>Qty</t>
  </si>
  <si>
    <t>Weight</t>
  </si>
  <si>
    <t>Arm</t>
  </si>
  <si>
    <t>Moment</t>
  </si>
  <si>
    <t>Basic Empty Weight</t>
  </si>
  <si>
    <t>Oil (Qts)</t>
  </si>
  <si>
    <t>Pilot</t>
  </si>
  <si>
    <t>Co-Pilot</t>
  </si>
  <si>
    <t xml:space="preserve">Passengers Rear </t>
  </si>
  <si>
    <t>Fuel  Gal. (48 Max)</t>
  </si>
  <si>
    <t>Total (M.G.W.=2650 lbs)</t>
  </si>
  <si>
    <t>= Maximum Gross Weight</t>
  </si>
  <si>
    <t>= Baggage Maximum</t>
  </si>
  <si>
    <t>= Fuel Max Gal, Min Gal.</t>
  </si>
  <si>
    <t>= CG, Wgt 1st point in envelope</t>
  </si>
  <si>
    <t>= CG, Wgt 2nd point in envelope</t>
  </si>
  <si>
    <t>= CG, Wgt 3rd point in envelope</t>
  </si>
  <si>
    <t>= CG, Wgt 4th point in envelope</t>
  </si>
  <si>
    <t>= Aft C.G.</t>
  </si>
  <si>
    <t>= C.G. too far fwd</t>
  </si>
  <si>
    <t>= C.G. fwd of 2nd segment</t>
  </si>
  <si>
    <t>= C.G. fwd of 3nd segment</t>
  </si>
  <si>
    <t>Piper Turbo Dakota G-BNYB</t>
  </si>
  <si>
    <t>Baggage Aft (200 lb Max)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</si>
</sst>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8"/>
      <name val="Arial"/>
      <family val="2"/>
    </font>
    <font>
      <sz val="8"/>
      <color indexed="8"/>
      <name val="Arial"/>
      <family val="2"/>
    </font>
    <font>
      <sz val="8"/>
      <color indexed="32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15" fillId="0" borderId="0" xfId="0" applyNumberFormat="1" applyFont="1" applyAlignment="1" applyProtection="1">
      <alignment/>
      <protection/>
    </xf>
    <xf numFmtId="172" fontId="16" fillId="0" borderId="0" xfId="0" applyNumberFormat="1" applyFont="1" applyAlignment="1" applyProtection="1">
      <alignment/>
      <protection/>
    </xf>
    <xf numFmtId="172" fontId="17" fillId="0" borderId="0" xfId="0" applyNumberFormat="1" applyFont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18" fillId="0" borderId="0" xfId="0" applyNumberFormat="1" applyFont="1" applyAlignment="1" applyProtection="1">
      <alignment/>
      <protection/>
    </xf>
    <xf numFmtId="172" fontId="6" fillId="0" borderId="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94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WBSARA!$O$4:$O$10</c:f>
              <c:numCache/>
            </c:numRef>
          </c:xVal>
          <c:yVal>
            <c:numRef>
              <c:f>WBSARA!$P$4:$P$10</c:f>
              <c:numCache/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WBSARA!$L$10:$L$14</c:f>
              <c:numCache/>
            </c:numRef>
          </c:xVal>
          <c:yVal>
            <c:numRef>
              <c:f>WBSARA!$M$10:$M$14</c:f>
              <c:numCache/>
            </c:numRef>
          </c:yVal>
          <c:smooth val="0"/>
        </c:ser>
        <c:ser>
          <c:idx val="2"/>
          <c:order val="2"/>
          <c:tx>
            <c:v>Basic Empty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WBSARA!$L$3:$L$4</c:f>
              <c:numCache/>
            </c:numRef>
          </c:xVal>
          <c:yVal>
            <c:numRef>
              <c:f>WBSARA!$M$3:$M$4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WBSARA!$L$4:$L$5</c:f>
              <c:numCache/>
            </c:numRef>
          </c:xVal>
          <c:yVal>
            <c:numRef>
              <c:f>WBSARA!$M$4:$M$5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WBSARA!$L$5:$L$7</c:f>
              <c:numCache/>
            </c:numRef>
          </c:xVal>
          <c:yVal>
            <c:numRef>
              <c:f>WBSARA!$M$5:$M$7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WBSARA!$L$7:$L$9</c:f>
              <c:numCache/>
            </c:numRef>
          </c:xVal>
          <c:yVal>
            <c:numRef>
              <c:f>WBSARA!$M$7:$M$9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WBSARA!$L$9:$L$10</c:f>
              <c:numCache/>
            </c:numRef>
          </c:xVal>
          <c:yVal>
            <c:numRef>
              <c:f>WBSARA!$M$9:$M$10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WBSARA!$O$12:$O$13</c:f>
              <c:numCache/>
            </c:numRef>
          </c:xVal>
          <c:yVal>
            <c:numRef>
              <c:f>WBSARA!$P$12:$P$13</c:f>
              <c:numCache/>
            </c:numRef>
          </c:yVal>
          <c:smooth val="0"/>
        </c:ser>
        <c:axId val="45347768"/>
        <c:axId val="5476729"/>
      </c:scatterChart>
      <c:valAx>
        <c:axId val="45347768"/>
        <c:scaling>
          <c:orientation val="minMax"/>
          <c:max val="94"/>
          <c:min val="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76729"/>
        <c:crossesAt val="77"/>
        <c:crossBetween val="midCat"/>
        <c:dispUnits/>
        <c:majorUnit val="2"/>
        <c:minorUnit val="1"/>
      </c:valAx>
      <c:valAx>
        <c:axId val="5476729"/>
        <c:scaling>
          <c:orientation val="minMax"/>
          <c:max val="30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347768"/>
        <c:crossesAt val="76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2752725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38100" y="38100"/>
        <a:ext cx="2714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showOutlineSymbols="0" zoomScale="120" zoomScaleNormal="120" workbookViewId="0" topLeftCell="A1">
      <selection activeCell="I12" sqref="I12"/>
    </sheetView>
  </sheetViews>
  <sheetFormatPr defaultColWidth="9.140625" defaultRowHeight="12.75"/>
  <cols>
    <col min="1" max="1" width="41.28125" style="2" customWidth="1"/>
    <col min="2" max="2" width="19.28125" style="2" customWidth="1"/>
    <col min="3" max="3" width="0.2890625" style="2" customWidth="1"/>
    <col min="4" max="4" width="4.421875" style="2" customWidth="1"/>
    <col min="5" max="5" width="0.2890625" style="2" customWidth="1"/>
    <col min="6" max="6" width="6.421875" style="2" customWidth="1"/>
    <col min="7" max="7" width="0.2890625" style="2" customWidth="1"/>
    <col min="8" max="8" width="5.7109375" style="2" customWidth="1"/>
    <col min="9" max="9" width="0.2890625" style="2" customWidth="1"/>
    <col min="10" max="10" width="7.57421875" style="2" customWidth="1"/>
    <col min="11" max="11" width="0.85546875" style="2" customWidth="1"/>
    <col min="12" max="12" width="6.8515625" style="2" customWidth="1"/>
    <col min="13" max="13" width="6.57421875" style="2" customWidth="1"/>
    <col min="14" max="14" width="9.00390625" style="2" customWidth="1"/>
    <col min="15" max="17" width="4.421875" style="2" customWidth="1"/>
    <col min="18" max="18" width="2.7109375" style="2" customWidth="1"/>
    <col min="19" max="16384" width="9.140625" style="2" customWidth="1"/>
  </cols>
  <sheetData>
    <row r="1" spans="1:10" ht="23.25">
      <c r="A1" s="1"/>
      <c r="B1" s="1"/>
      <c r="C1" s="1"/>
      <c r="D1" s="1"/>
      <c r="E1" s="22" t="s">
        <v>22</v>
      </c>
      <c r="F1" s="21"/>
      <c r="G1" s="21"/>
      <c r="H1" s="1"/>
      <c r="I1" s="1"/>
      <c r="J1" s="1"/>
    </row>
    <row r="2" spans="1:10" ht="11.2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3" ht="11.25">
      <c r="B3" s="3"/>
      <c r="C3" s="51"/>
      <c r="D3" s="16" t="s">
        <v>0</v>
      </c>
      <c r="F3" s="16" t="s">
        <v>1</v>
      </c>
      <c r="G3" s="17"/>
      <c r="H3" s="16" t="s">
        <v>2</v>
      </c>
      <c r="I3" s="17"/>
      <c r="J3" s="16" t="s">
        <v>3</v>
      </c>
      <c r="K3" s="4"/>
      <c r="L3" s="5">
        <f>L4</f>
        <v>81.5606936416185</v>
      </c>
      <c r="M3" s="5">
        <v>1200</v>
      </c>
    </row>
    <row r="4" spans="2:17" ht="12.75" customHeight="1">
      <c r="B4" s="2" t="s">
        <v>4</v>
      </c>
      <c r="C4" s="51"/>
      <c r="D4" s="2">
        <v>1730</v>
      </c>
      <c r="F4" s="2">
        <v>1730</v>
      </c>
      <c r="H4" s="44">
        <f>J4/F4</f>
        <v>81.5606936416185</v>
      </c>
      <c r="I4" s="5"/>
      <c r="J4" s="6">
        <v>141100</v>
      </c>
      <c r="K4" s="5"/>
      <c r="L4" s="5">
        <f aca="true" t="shared" si="0" ref="L4:L14">N4/M4</f>
        <v>81.5606936416185</v>
      </c>
      <c r="M4" s="2">
        <f>F4</f>
        <v>1730</v>
      </c>
      <c r="N4" s="5">
        <f>J4</f>
        <v>141100</v>
      </c>
      <c r="O4" s="2">
        <v>85</v>
      </c>
      <c r="P4" s="2">
        <v>1200</v>
      </c>
      <c r="Q4"/>
    </row>
    <row r="5" spans="2:17" ht="12.75" customHeight="1">
      <c r="B5" s="23" t="s">
        <v>5</v>
      </c>
      <c r="C5" s="23"/>
      <c r="D5" s="24">
        <v>8</v>
      </c>
      <c r="E5" s="23"/>
      <c r="F5" s="23">
        <f>D5*15/8</f>
        <v>15</v>
      </c>
      <c r="G5" s="23"/>
      <c r="H5" s="45">
        <v>24.5</v>
      </c>
      <c r="I5" s="25"/>
      <c r="J5" s="26">
        <f>F5*H5</f>
        <v>367.5</v>
      </c>
      <c r="K5" s="7"/>
      <c r="L5" s="5">
        <f t="shared" si="0"/>
        <v>81.0702005730659</v>
      </c>
      <c r="M5" s="2">
        <f aca="true" t="shared" si="1" ref="M5:M11">F5+M4</f>
        <v>1745</v>
      </c>
      <c r="N5" s="5">
        <f aca="true" t="shared" si="2" ref="N5:N11">J5+N4</f>
        <v>141467.5</v>
      </c>
      <c r="O5" s="2">
        <v>85</v>
      </c>
      <c r="P5" s="2">
        <v>2400</v>
      </c>
      <c r="Q5"/>
    </row>
    <row r="6" spans="2:17" ht="12.75" customHeight="1">
      <c r="B6" s="27" t="s">
        <v>6</v>
      </c>
      <c r="C6" s="27"/>
      <c r="D6" s="28">
        <v>220</v>
      </c>
      <c r="E6" s="27"/>
      <c r="F6" s="27">
        <f>D6</f>
        <v>220</v>
      </c>
      <c r="G6" s="27"/>
      <c r="H6" s="46">
        <v>80.5</v>
      </c>
      <c r="I6" s="29"/>
      <c r="J6" s="30">
        <f aca="true" t="shared" si="3" ref="J6:J11">F6*H6</f>
        <v>17710</v>
      </c>
      <c r="K6" s="8"/>
      <c r="L6" s="5">
        <f t="shared" si="0"/>
        <v>81.00636132315522</v>
      </c>
      <c r="M6" s="2">
        <f t="shared" si="1"/>
        <v>1965</v>
      </c>
      <c r="N6" s="5">
        <f t="shared" si="2"/>
        <v>159177.5</v>
      </c>
      <c r="O6" s="2">
        <v>87</v>
      </c>
      <c r="P6" s="2">
        <v>2650</v>
      </c>
      <c r="Q6"/>
    </row>
    <row r="7" spans="2:17" ht="12.75" customHeight="1">
      <c r="B7" s="27" t="s">
        <v>7</v>
      </c>
      <c r="C7" s="27"/>
      <c r="D7" s="28">
        <f>11*14</f>
        <v>154</v>
      </c>
      <c r="E7" s="27"/>
      <c r="F7" s="27">
        <f>D7</f>
        <v>154</v>
      </c>
      <c r="G7" s="27"/>
      <c r="H7" s="46">
        <v>80.5</v>
      </c>
      <c r="I7" s="29"/>
      <c r="J7" s="30">
        <f t="shared" si="3"/>
        <v>12397</v>
      </c>
      <c r="K7" s="8"/>
      <c r="L7" s="5">
        <f t="shared" si="0"/>
        <v>80.9695611137329</v>
      </c>
      <c r="M7" s="2">
        <f t="shared" si="1"/>
        <v>2119</v>
      </c>
      <c r="N7" s="5">
        <f t="shared" si="2"/>
        <v>171574.5</v>
      </c>
      <c r="O7" s="2">
        <v>89</v>
      </c>
      <c r="P7" s="2">
        <v>2900</v>
      </c>
      <c r="Q7"/>
    </row>
    <row r="8" spans="2:17" ht="12.75" customHeight="1">
      <c r="B8" s="31" t="s">
        <v>8</v>
      </c>
      <c r="C8" s="31"/>
      <c r="D8" s="32">
        <v>142</v>
      </c>
      <c r="E8" s="31"/>
      <c r="F8" s="31">
        <f>D8</f>
        <v>142</v>
      </c>
      <c r="G8" s="31"/>
      <c r="H8" s="47">
        <v>118.1</v>
      </c>
      <c r="I8" s="33"/>
      <c r="J8" s="34">
        <f t="shared" si="3"/>
        <v>16770.2</v>
      </c>
      <c r="K8" s="9"/>
      <c r="L8" s="5">
        <f t="shared" si="0"/>
        <v>83.3015037593985</v>
      </c>
      <c r="M8" s="2">
        <f t="shared" si="1"/>
        <v>2261</v>
      </c>
      <c r="N8" s="5">
        <f t="shared" si="2"/>
        <v>188344.7</v>
      </c>
      <c r="O8" s="2">
        <v>93</v>
      </c>
      <c r="P8" s="2">
        <v>2900</v>
      </c>
      <c r="Q8"/>
    </row>
    <row r="9" spans="2:17" ht="12.75" customHeight="1">
      <c r="B9" s="31" t="s">
        <v>8</v>
      </c>
      <c r="C9" s="31"/>
      <c r="D9" s="32">
        <v>140</v>
      </c>
      <c r="E9" s="31"/>
      <c r="F9" s="31">
        <f>D9</f>
        <v>140</v>
      </c>
      <c r="G9" s="31"/>
      <c r="H9" s="47">
        <v>118.1</v>
      </c>
      <c r="I9" s="33"/>
      <c r="J9" s="34">
        <f t="shared" si="3"/>
        <v>16534</v>
      </c>
      <c r="K9" s="9"/>
      <c r="L9" s="5">
        <f t="shared" si="0"/>
        <v>85.33057059558517</v>
      </c>
      <c r="M9" s="2">
        <f t="shared" si="1"/>
        <v>2401</v>
      </c>
      <c r="N9" s="5">
        <f t="shared" si="2"/>
        <v>204878.7</v>
      </c>
      <c r="O9" s="2">
        <v>93</v>
      </c>
      <c r="P9" s="2">
        <v>1200</v>
      </c>
      <c r="Q9"/>
    </row>
    <row r="10" spans="2:17" ht="12.75" customHeight="1">
      <c r="B10" s="40" t="s">
        <v>23</v>
      </c>
      <c r="C10" s="40"/>
      <c r="D10" s="41">
        <f>25+10+70</f>
        <v>105</v>
      </c>
      <c r="E10" s="40"/>
      <c r="F10" s="40">
        <f>D10</f>
        <v>105</v>
      </c>
      <c r="G10" s="40"/>
      <c r="H10" s="48">
        <v>142.8</v>
      </c>
      <c r="I10" s="42"/>
      <c r="J10" s="43">
        <f t="shared" si="3"/>
        <v>14994.000000000002</v>
      </c>
      <c r="K10" s="10"/>
      <c r="L10" s="5">
        <f t="shared" si="0"/>
        <v>87.73850758180367</v>
      </c>
      <c r="M10" s="2">
        <f t="shared" si="1"/>
        <v>2506</v>
      </c>
      <c r="N10" s="5">
        <f t="shared" si="2"/>
        <v>219872.7</v>
      </c>
      <c r="O10" s="2">
        <v>80</v>
      </c>
      <c r="P10" s="2">
        <v>1200</v>
      </c>
      <c r="Q10"/>
    </row>
    <row r="11" spans="2:14" ht="12.75" customHeight="1">
      <c r="B11" s="35" t="s">
        <v>9</v>
      </c>
      <c r="C11" s="37"/>
      <c r="D11" s="36">
        <v>48</v>
      </c>
      <c r="E11" s="37"/>
      <c r="F11" s="35">
        <f>6*D11</f>
        <v>288</v>
      </c>
      <c r="G11" s="35"/>
      <c r="H11" s="49">
        <v>95</v>
      </c>
      <c r="I11" s="38"/>
      <c r="J11" s="39">
        <f t="shared" si="3"/>
        <v>27360</v>
      </c>
      <c r="K11" s="11"/>
      <c r="L11" s="5">
        <f t="shared" si="0"/>
        <v>88.48700787401575</v>
      </c>
      <c r="M11" s="2">
        <f t="shared" si="1"/>
        <v>2794</v>
      </c>
      <c r="N11" s="5">
        <f t="shared" si="2"/>
        <v>247232.7</v>
      </c>
    </row>
    <row r="12" spans="2:16" ht="12.75" customHeight="1">
      <c r="B12" s="12" t="s">
        <v>10</v>
      </c>
      <c r="C12" s="13"/>
      <c r="D12" s="12"/>
      <c r="E12" s="13"/>
      <c r="F12" s="14">
        <f>M11</f>
        <v>2794</v>
      </c>
      <c r="H12" s="50">
        <f>J12/F12</f>
        <v>88.48700787401575</v>
      </c>
      <c r="I12" s="5"/>
      <c r="J12" s="15">
        <f>SUM(J4:J11)</f>
        <v>247232.7</v>
      </c>
      <c r="K12" s="5"/>
      <c r="L12" s="5">
        <f t="shared" si="0"/>
        <v>88.78013600572656</v>
      </c>
      <c r="M12" s="2">
        <f>F12</f>
        <v>2794</v>
      </c>
      <c r="N12" s="5">
        <f>J12+819</f>
        <v>248051.7</v>
      </c>
      <c r="O12" s="2">
        <v>81.25</v>
      </c>
      <c r="P12" s="2">
        <v>2125</v>
      </c>
    </row>
    <row r="13" spans="2:16" ht="11.25">
      <c r="B13" s="20">
        <f>IF(F12&gt;M15,"Warning: Maximum Gross Weight Exceeded","")</f>
      </c>
      <c r="H13" s="5"/>
      <c r="I13" s="5"/>
      <c r="J13" s="5"/>
      <c r="K13" s="5"/>
      <c r="L13" s="5">
        <f t="shared" si="0"/>
        <v>88.06532322426177</v>
      </c>
      <c r="M13" s="2">
        <f>M12-F11</f>
        <v>2506</v>
      </c>
      <c r="N13" s="5">
        <f>N12-J11</f>
        <v>220691.7</v>
      </c>
      <c r="O13" s="2">
        <v>93</v>
      </c>
      <c r="P13" s="2">
        <v>2125</v>
      </c>
    </row>
    <row r="14" spans="2:14" ht="11.25">
      <c r="B14" s="20">
        <f>IF((D10&gt;M16),"Warning: Too Much Baggage","")</f>
      </c>
      <c r="H14" s="5"/>
      <c r="I14" s="5"/>
      <c r="J14" s="5"/>
      <c r="K14" s="5"/>
      <c r="L14" s="5">
        <f t="shared" si="0"/>
        <v>87.73850758180367</v>
      </c>
      <c r="M14" s="2">
        <f>F14+M13</f>
        <v>2506</v>
      </c>
      <c r="N14" s="5">
        <f>N13-819</f>
        <v>219872.7</v>
      </c>
    </row>
    <row r="15" spans="2:14" ht="11.25">
      <c r="B15" s="20">
        <f>IF(MAX(L10:L14)&gt;L21,"Warning: C.G. Too Far Aft","")&amp;IF(OR(M23,M24,M25),"Warning: C.G. Too Far Forward","")</f>
      </c>
      <c r="H15" s="5"/>
      <c r="I15" s="5"/>
      <c r="J15" s="5"/>
      <c r="K15" s="5"/>
      <c r="L15" s="21"/>
      <c r="M15" s="19">
        <v>2900</v>
      </c>
      <c r="N15" s="18" t="s">
        <v>11</v>
      </c>
    </row>
    <row r="16" spans="2:14" ht="11.25">
      <c r="B16" s="20">
        <f>IF(D11&gt;L17,"Error: Too Much Fuel","")&amp;IF(D11&lt;M17,"Warning: Low Fuel","")</f>
      </c>
      <c r="L16" s="21"/>
      <c r="M16" s="2">
        <v>200</v>
      </c>
      <c r="N16" s="18" t="s">
        <v>12</v>
      </c>
    </row>
    <row r="17" spans="2:14" ht="11.25">
      <c r="B17" s="20"/>
      <c r="L17" s="2">
        <v>48</v>
      </c>
      <c r="M17" s="2">
        <v>8</v>
      </c>
      <c r="N17" s="18" t="s">
        <v>13</v>
      </c>
    </row>
    <row r="18" spans="2:14" ht="11.25">
      <c r="B18" s="20"/>
      <c r="L18" s="2">
        <v>80</v>
      </c>
      <c r="M18" s="2">
        <v>1800</v>
      </c>
      <c r="N18" s="18" t="s">
        <v>14</v>
      </c>
    </row>
    <row r="19" spans="12:14" ht="11.25">
      <c r="L19" s="2">
        <v>82</v>
      </c>
      <c r="M19" s="2">
        <v>2300</v>
      </c>
      <c r="N19" s="18" t="s">
        <v>15</v>
      </c>
    </row>
    <row r="20" spans="12:14" ht="11.25">
      <c r="L20" s="2">
        <v>87.5</v>
      </c>
      <c r="M20" s="2">
        <v>2900</v>
      </c>
      <c r="N20" s="18" t="s">
        <v>16</v>
      </c>
    </row>
    <row r="21" spans="12:14" ht="11.25">
      <c r="L21" s="2">
        <v>93</v>
      </c>
      <c r="M21" s="2">
        <v>2900</v>
      </c>
      <c r="N21" s="18" t="s">
        <v>17</v>
      </c>
    </row>
    <row r="22" spans="12:14" ht="11.25">
      <c r="L22" s="21"/>
      <c r="M22" s="5">
        <v>93</v>
      </c>
      <c r="N22" s="18" t="s">
        <v>18</v>
      </c>
    </row>
    <row r="23" spans="12:14" ht="11.25">
      <c r="L23" s="21"/>
      <c r="M23" s="2" t="b">
        <f>M22&lt;L18</f>
        <v>0</v>
      </c>
      <c r="N23" s="18" t="s">
        <v>19</v>
      </c>
    </row>
    <row r="24" spans="12:14" ht="11.25">
      <c r="L24" s="21"/>
      <c r="M24" s="2" t="b">
        <f>OR(AND(M11&lt;M19,M11&gt;(M18+(M19-M18)*(L11-L18)/(L19-L18))),AND(M13&lt;M19,M13&gt;(M18+(M19-M18)*(L13-L18)/(L19-L18))))</f>
        <v>0</v>
      </c>
      <c r="N24" s="18" t="s">
        <v>20</v>
      </c>
    </row>
    <row r="25" spans="12:14" ht="11.25">
      <c r="L25" s="21"/>
      <c r="M25" s="2" t="b">
        <f>OR(AND(M11&lt;M20,M11&gt;(M19+(M20-M19)*(L11-L19)/(L20-L19))),AND(M13&lt;M20,M13&gt;(M19+(M20-M19)*(L13-L19)/(L20-L19))))</f>
        <v>0</v>
      </c>
      <c r="N25" s="18" t="s">
        <v>21</v>
      </c>
    </row>
  </sheetData>
  <printOptions horizontalCentered="1"/>
  <pageMargins left="0.25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 N56889</dc:title>
  <dc:subject>Weight &amp; Balance</dc:subject>
  <dc:creator>DJ</dc:creator>
  <cp:keywords/>
  <dc:description/>
  <cp:lastModifiedBy>Gary Seymour</cp:lastModifiedBy>
  <cp:lastPrinted>1997-09-07T17:06:49Z</cp:lastPrinted>
  <dcterms:created xsi:type="dcterms:W3CDTF">1997-06-23T20:51:56Z</dcterms:created>
  <dcterms:modified xsi:type="dcterms:W3CDTF">2001-09-21T18:27:55Z</dcterms:modified>
  <cp:category/>
  <cp:version/>
  <cp:contentType/>
  <cp:contentStatus/>
</cp:coreProperties>
</file>